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XRM\stxm-cls\manual\"/>
    </mc:Choice>
  </mc:AlternateContent>
  <xr:revisionPtr revIDLastSave="0" documentId="8_{C56FCD95-D55D-4990-B115-03F65D1E9323}" xr6:coauthVersionLast="36" xr6:coauthVersionMax="36" xr10:uidLastSave="{00000000-0000-0000-0000-000000000000}"/>
  <bookViews>
    <workbookView xWindow="5235" yWindow="-120" windowWidth="10770" windowHeight="11085" xr2:uid="{00000000-000D-0000-FFFF-FFFF00000000}"/>
  </bookViews>
  <sheets>
    <sheet name="Version 2" sheetId="2" r:id="rId1"/>
    <sheet name="Version 1" sheetId="1" r:id="rId2"/>
  </sheets>
  <calcPr calcId="179021" concurrentCalc="0"/>
</workbook>
</file>

<file path=xl/calcChain.xml><?xml version="1.0" encoding="utf-8"?>
<calcChain xmlns="http://schemas.openxmlformats.org/spreadsheetml/2006/main">
  <c r="I6" i="2" l="1"/>
  <c r="I24" i="2"/>
  <c r="I23" i="2"/>
  <c r="I5" i="2"/>
  <c r="I10" i="2"/>
  <c r="I9" i="2"/>
  <c r="I21" i="2"/>
  <c r="I8" i="2"/>
  <c r="I14" i="2"/>
  <c r="G9" i="1"/>
  <c r="G19" i="1"/>
  <c r="G8" i="1"/>
  <c r="G10" i="1"/>
  <c r="I7" i="2"/>
  <c r="I20" i="2"/>
  <c r="I17" i="2"/>
  <c r="I18" i="2"/>
  <c r="I19" i="2"/>
  <c r="I13" i="2"/>
  <c r="I15" i="2"/>
  <c r="I11" i="2"/>
  <c r="G12" i="1"/>
  <c r="G16" i="1"/>
  <c r="G14" i="1"/>
  <c r="K21" i="1"/>
  <c r="G11" i="1"/>
  <c r="G13" i="1"/>
  <c r="I16" i="2"/>
  <c r="I12" i="2"/>
</calcChain>
</file>

<file path=xl/sharedStrings.xml><?xml version="1.0" encoding="utf-8"?>
<sst xmlns="http://schemas.openxmlformats.org/spreadsheetml/2006/main" count="174" uniqueCount="136">
  <si>
    <t>Photon energy (eV)</t>
  </si>
  <si>
    <r>
      <t>ZP diameter (</t>
    </r>
    <r>
      <rPr>
        <sz val="11"/>
        <color indexed="8"/>
        <rFont val="Calibri"/>
        <family val="2"/>
      </rPr>
      <t>µm)</t>
    </r>
  </si>
  <si>
    <r>
      <t>OSA diameter (</t>
    </r>
    <r>
      <rPr>
        <sz val="11"/>
        <color indexed="8"/>
        <rFont val="Calibri"/>
        <family val="2"/>
      </rPr>
      <t>µ</t>
    </r>
    <r>
      <rPr>
        <sz val="11"/>
        <color theme="1"/>
        <rFont val="Calibri"/>
        <family val="2"/>
        <scheme val="minor"/>
      </rPr>
      <t>m)</t>
    </r>
  </si>
  <si>
    <t>Depth of focus</t>
  </si>
  <si>
    <t>µm</t>
  </si>
  <si>
    <t>Focal length</t>
  </si>
  <si>
    <t>nm</t>
  </si>
  <si>
    <t>SLS X07DA</t>
  </si>
  <si>
    <t>BESSY II UE46</t>
  </si>
  <si>
    <t>CLS 10ID-1</t>
  </si>
  <si>
    <t>ALS 5.3.2.2</t>
  </si>
  <si>
    <t>ALS 11.0.2</t>
  </si>
  <si>
    <t>ALS 5.3.2.1</t>
  </si>
  <si>
    <t>Wavelength</t>
  </si>
  <si>
    <r>
      <t>Central stop diameter (</t>
    </r>
    <r>
      <rPr>
        <sz val="11"/>
        <color indexed="8"/>
        <rFont val="Calibri"/>
        <family val="2"/>
      </rPr>
      <t>µm)</t>
    </r>
  </si>
  <si>
    <t>±</t>
  </si>
  <si>
    <t>≤</t>
  </si>
  <si>
    <t>≥</t>
  </si>
  <si>
    <r>
      <t>A</t>
    </r>
    <r>
      <rPr>
        <sz val="8"/>
        <color indexed="8"/>
        <rFont val="Calibri"/>
        <family val="2"/>
      </rPr>
      <t>0</t>
    </r>
    <r>
      <rPr>
        <sz val="11"/>
        <color theme="1"/>
        <rFont val="Calibri"/>
        <family val="2"/>
        <scheme val="minor"/>
      </rPr>
      <t xml:space="preserve"> distance that will certainly pass 2nd order</t>
    </r>
  </si>
  <si>
    <t>Exit slits to ZP distance (m)</t>
  </si>
  <si>
    <t>Exit slits to ZP  distances (m)</t>
  </si>
  <si>
    <t>Adam Leontowich, McMaster University</t>
  </si>
  <si>
    <r>
      <t xml:space="preserve">Enter values in </t>
    </r>
    <r>
      <rPr>
        <u/>
        <sz val="11"/>
        <color indexed="10"/>
        <rFont val="Calibri"/>
        <family val="2"/>
      </rPr>
      <t>column C</t>
    </r>
    <r>
      <rPr>
        <sz val="11"/>
        <color indexed="10"/>
        <rFont val="Calibri"/>
        <family val="2"/>
      </rPr>
      <t xml:space="preserve">. Calculated values appear in </t>
    </r>
    <r>
      <rPr>
        <u/>
        <sz val="11"/>
        <color indexed="10"/>
        <rFont val="Calibri"/>
        <family val="2"/>
      </rPr>
      <t>column G</t>
    </r>
    <r>
      <rPr>
        <sz val="11"/>
        <color indexed="10"/>
        <rFont val="Calibri"/>
        <family val="2"/>
      </rPr>
      <t>.</t>
    </r>
  </si>
  <si>
    <t>Notes:</t>
  </si>
  <si>
    <t>Outermost zone width (nm)</t>
  </si>
  <si>
    <t>Ao calculations assume a flat, circular aperture, centered on the optical axis</t>
  </si>
  <si>
    <t>R: zone plate radius</t>
  </si>
  <si>
    <t>L: Exit slits to ZP distance</t>
  </si>
  <si>
    <t>λ: Wavelength</t>
  </si>
  <si>
    <t>d: Max. Exit slit width for diffract. Lim. Focus</t>
  </si>
  <si>
    <t>Practical STXM calculator</t>
  </si>
  <si>
    <r>
      <t>A</t>
    </r>
    <r>
      <rPr>
        <sz val="8"/>
        <color indexed="8"/>
        <rFont val="Calibri"/>
        <family val="2"/>
      </rPr>
      <t>0</t>
    </r>
    <r>
      <rPr>
        <sz val="11"/>
        <color theme="1"/>
        <rFont val="Calibri"/>
        <family val="2"/>
        <scheme val="minor"/>
      </rPr>
      <t xml:space="preserve"> distance that will begin clipping 1st order</t>
    </r>
  </si>
  <si>
    <t>Zone plate numerical aperture (NA)</t>
  </si>
  <si>
    <t>Calculated A1</t>
  </si>
  <si>
    <t>Number of zones</t>
  </si>
  <si>
    <t xml:space="preserve">Rayleigh criteria resolution is </t>
  </si>
  <si>
    <r>
      <t>0.61</t>
    </r>
    <r>
      <rPr>
        <sz val="11"/>
        <color indexed="8"/>
        <rFont val="Calibri"/>
        <family val="2"/>
      </rPr>
      <t>λ/NA</t>
    </r>
  </si>
  <si>
    <t>Geometrical image of the source at focal plane</t>
  </si>
  <si>
    <t>Exit slit width in use (um)</t>
  </si>
  <si>
    <t>Calculation of max exit slit assumes a square aperture</t>
  </si>
  <si>
    <t>v 1.1</t>
  </si>
  <si>
    <t>Number of zones with the central stop</t>
  </si>
  <si>
    <t>Max. exit slit width for diffract.-lim. Focus, (p=2)</t>
  </si>
  <si>
    <t>Canadian Light Source Inc.</t>
  </si>
  <si>
    <t>44 Innovation Boulevard</t>
  </si>
  <si>
    <t>Canada</t>
  </si>
  <si>
    <t>Inputs</t>
  </si>
  <si>
    <t>Photon energy</t>
  </si>
  <si>
    <t>Symbol</t>
  </si>
  <si>
    <t>E</t>
  </si>
  <si>
    <t>Unit</t>
  </si>
  <si>
    <t>eV</t>
  </si>
  <si>
    <t>Value</t>
  </si>
  <si>
    <t>Zone plate diameter</t>
  </si>
  <si>
    <t>D</t>
  </si>
  <si>
    <t>Outer most zone width</t>
  </si>
  <si>
    <t>Central stop diameter</t>
  </si>
  <si>
    <t>Order sorting aperture diameter</t>
  </si>
  <si>
    <t>Exit slit to zone plate distance</t>
  </si>
  <si>
    <t>d</t>
  </si>
  <si>
    <t>m</t>
  </si>
  <si>
    <t>Outputs</t>
  </si>
  <si>
    <t>λ</t>
  </si>
  <si>
    <t>f</t>
  </si>
  <si>
    <t>Zone plate numerical aperture</t>
  </si>
  <si>
    <t>NA</t>
  </si>
  <si>
    <t>N</t>
  </si>
  <si>
    <t>Exit slit width</t>
  </si>
  <si>
    <t>l</t>
  </si>
  <si>
    <t>p</t>
  </si>
  <si>
    <t>Zone plate to order sorting aperture distance</t>
  </si>
  <si>
    <t>Order sorting aperture thickness</t>
  </si>
  <si>
    <t>Order sorting aperture to sample distance</t>
  </si>
  <si>
    <t>Definitions</t>
  </si>
  <si>
    <t>ZP</t>
  </si>
  <si>
    <t>OSA</t>
  </si>
  <si>
    <t>BL</t>
  </si>
  <si>
    <t>Distance from the front (upstream side) of the order sorting aperture to the sample</t>
  </si>
  <si>
    <t>Other notes</t>
  </si>
  <si>
    <t>Saskatoon, SK   S7N 2V3</t>
  </si>
  <si>
    <t>Beamline</t>
  </si>
  <si>
    <t>Order sorting aperture</t>
  </si>
  <si>
    <t>Zone plate</t>
  </si>
  <si>
    <t>13.06.2013</t>
  </si>
  <si>
    <t>Geometrical image of the exit slit at the focal plane</t>
  </si>
  <si>
    <t>Number of zones (includes both opaque and transparent)</t>
  </si>
  <si>
    <t>Number of unobstructed zones (includes both opaque and transparent)</t>
  </si>
  <si>
    <t>Tabulated exit slit to zone plate distances (m)</t>
  </si>
  <si>
    <t>Dr. Adam Leontowich</t>
  </si>
  <si>
    <t>°</t>
  </si>
  <si>
    <t>Zone plate must be perpendicular to the optical axis to better than</t>
  </si>
  <si>
    <t>Number of quarter wavelengths by which the incident wavefront deviates by over the zone plate area</t>
  </si>
  <si>
    <t>SSRL</t>
  </si>
  <si>
    <t>Add diameter in the detector plane</t>
  </si>
  <si>
    <t>UVSOR BL4U</t>
  </si>
  <si>
    <t>STXM calculator</t>
  </si>
  <si>
    <r>
      <t>A</t>
    </r>
    <r>
      <rPr>
        <vertAlign val="subscript"/>
        <sz val="12"/>
        <color indexed="8"/>
        <rFont val="Calibri"/>
        <family val="2"/>
      </rPr>
      <t>0</t>
    </r>
  </si>
  <si>
    <t>µm</t>
  </si>
  <si>
    <r>
      <t>Focal length (1</t>
    </r>
    <r>
      <rPr>
        <vertAlign val="superscript"/>
        <sz val="12"/>
        <color indexed="8"/>
        <rFont val="Calibri"/>
        <family val="2"/>
      </rPr>
      <t>st</t>
    </r>
    <r>
      <rPr>
        <sz val="12"/>
        <color indexed="8"/>
        <rFont val="Calibri"/>
        <family val="2"/>
      </rPr>
      <t xml:space="preserve"> order), zone plate to sample distance</t>
    </r>
  </si>
  <si>
    <t>µm</t>
  </si>
  <si>
    <r>
      <t>A</t>
    </r>
    <r>
      <rPr>
        <vertAlign val="subscript"/>
        <sz val="12"/>
        <color indexed="8"/>
        <rFont val="Calibri"/>
        <family val="2"/>
      </rPr>
      <t>1</t>
    </r>
  </si>
  <si>
    <r>
      <t xml:space="preserve">Experimentally determined change in </t>
    </r>
    <r>
      <rPr>
        <i/>
        <sz val="12"/>
        <color indexed="8"/>
        <rFont val="Calibri"/>
        <family val="2"/>
      </rPr>
      <t>f</t>
    </r>
    <r>
      <rPr>
        <sz val="12"/>
        <color indexed="8"/>
        <rFont val="Calibri"/>
        <family val="2"/>
      </rPr>
      <t xml:space="preserve"> with photon energy </t>
    </r>
    <r>
      <rPr>
        <i/>
        <sz val="12"/>
        <color indexed="8"/>
        <rFont val="Calibri"/>
        <family val="2"/>
      </rPr>
      <t>E</t>
    </r>
  </si>
  <si>
    <r>
      <t>∆</t>
    </r>
    <r>
      <rPr>
        <i/>
        <sz val="12"/>
        <color indexed="8"/>
        <rFont val="Calibri"/>
        <family val="2"/>
      </rPr>
      <t>r</t>
    </r>
  </si>
  <si>
    <r>
      <t>D</t>
    </r>
    <r>
      <rPr>
        <vertAlign val="subscript"/>
        <sz val="12"/>
        <color indexed="8"/>
        <rFont val="Calibri"/>
        <family val="2"/>
      </rPr>
      <t>s</t>
    </r>
  </si>
  <si>
    <t>µm</t>
  </si>
  <si>
    <r>
      <t>Rayleigh resolution (1</t>
    </r>
    <r>
      <rPr>
        <vertAlign val="superscript"/>
        <sz val="12"/>
        <color indexed="8"/>
        <rFont val="Calibri"/>
        <family val="2"/>
      </rPr>
      <t>st</t>
    </r>
    <r>
      <rPr>
        <sz val="12"/>
        <color indexed="8"/>
        <rFont val="Calibri"/>
        <family val="2"/>
      </rPr>
      <t xml:space="preserve"> order, does not account for </t>
    </r>
    <r>
      <rPr>
        <i/>
        <sz val="12"/>
        <color indexed="8"/>
        <rFont val="Calibri"/>
        <family val="2"/>
      </rPr>
      <t>D</t>
    </r>
    <r>
      <rPr>
        <vertAlign val="subscript"/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)</t>
    </r>
  </si>
  <si>
    <r>
      <t>D</t>
    </r>
    <r>
      <rPr>
        <vertAlign val="subscript"/>
        <sz val="12"/>
        <color indexed="8"/>
        <rFont val="Calibri"/>
        <family val="2"/>
      </rPr>
      <t>o</t>
    </r>
  </si>
  <si>
    <t>µm</t>
  </si>
  <si>
    <r>
      <t>N</t>
    </r>
    <r>
      <rPr>
        <vertAlign val="subscript"/>
        <sz val="12"/>
        <color indexed="8"/>
        <rFont val="Calibri"/>
        <family val="2"/>
      </rPr>
      <t>ap</t>
    </r>
  </si>
  <si>
    <t>µm</t>
  </si>
  <si>
    <r>
      <t>A</t>
    </r>
    <r>
      <rPr>
        <vertAlign val="subscript"/>
        <sz val="12"/>
        <color indexed="8"/>
        <rFont val="Calibri"/>
        <family val="2"/>
      </rPr>
      <t>0</t>
    </r>
    <r>
      <rPr>
        <sz val="12"/>
        <color indexed="8"/>
        <rFont val="Calibri"/>
        <family val="2"/>
      </rPr>
      <t xml:space="preserve"> distance that will just clip ZP 1</t>
    </r>
    <r>
      <rPr>
        <vertAlign val="superscript"/>
        <sz val="12"/>
        <color indexed="8"/>
        <rFont val="Calibri"/>
        <family val="2"/>
      </rPr>
      <t>st</t>
    </r>
    <r>
      <rPr>
        <sz val="12"/>
        <color indexed="8"/>
        <rFont val="Calibri"/>
        <family val="2"/>
      </rPr>
      <t xml:space="preserve"> order, BL 1</t>
    </r>
    <r>
      <rPr>
        <vertAlign val="superscript"/>
        <sz val="12"/>
        <color indexed="8"/>
        <rFont val="Calibri"/>
        <family val="2"/>
      </rPr>
      <t>st</t>
    </r>
    <r>
      <rPr>
        <sz val="12"/>
        <color indexed="8"/>
        <rFont val="Calibri"/>
        <family val="2"/>
      </rPr>
      <t xml:space="preserve"> order</t>
    </r>
  </si>
  <si>
    <t>µm</t>
  </si>
  <si>
    <r>
      <t xml:space="preserve">Calculations of maximum exit slit for diffraction limited spatial resolution, </t>
    </r>
    <r>
      <rPr>
        <i/>
        <sz val="12"/>
        <color indexed="8"/>
        <rFont val="Calibri"/>
        <family val="2"/>
      </rPr>
      <t>p</t>
    </r>
    <r>
      <rPr>
        <sz val="12"/>
        <color indexed="8"/>
        <rFont val="Calibri"/>
        <family val="2"/>
      </rPr>
      <t xml:space="preserve"> and </t>
    </r>
    <r>
      <rPr>
        <i/>
        <sz val="12"/>
        <color indexed="8"/>
        <rFont val="Calibri"/>
        <family val="2"/>
      </rPr>
      <t>p</t>
    </r>
    <r>
      <rPr>
        <vertAlign val="subscript"/>
        <sz val="12"/>
        <color indexed="8"/>
        <rFont val="Calibri"/>
        <family val="2"/>
      </rPr>
      <t>ap</t>
    </r>
    <r>
      <rPr>
        <sz val="12"/>
        <color indexed="8"/>
        <rFont val="Calibri"/>
        <family val="2"/>
      </rPr>
      <t xml:space="preserve"> assume a square aperture.</t>
    </r>
  </si>
  <si>
    <r>
      <t>A</t>
    </r>
    <r>
      <rPr>
        <vertAlign val="subscript"/>
        <sz val="12"/>
        <color indexed="8"/>
        <rFont val="Calibri"/>
        <family val="2"/>
      </rPr>
      <t>0</t>
    </r>
    <r>
      <rPr>
        <sz val="12"/>
        <color indexed="8"/>
        <rFont val="Calibri"/>
        <family val="2"/>
      </rPr>
      <t xml:space="preserve"> distance that will just pass ZP 1</t>
    </r>
    <r>
      <rPr>
        <vertAlign val="superscript"/>
        <sz val="12"/>
        <color indexed="8"/>
        <rFont val="Calibri"/>
        <family val="2"/>
      </rPr>
      <t>st</t>
    </r>
    <r>
      <rPr>
        <sz val="12"/>
        <color indexed="8"/>
        <rFont val="Calibri"/>
        <family val="2"/>
      </rPr>
      <t xml:space="preserve"> order, BL 2</t>
    </r>
    <r>
      <rPr>
        <vertAlign val="superscript"/>
        <sz val="12"/>
        <color indexed="8"/>
        <rFont val="Calibri"/>
        <family val="2"/>
      </rPr>
      <t>nd</t>
    </r>
    <r>
      <rPr>
        <sz val="12"/>
        <color indexed="8"/>
        <rFont val="Calibri"/>
        <family val="2"/>
      </rPr>
      <t xml:space="preserve"> order</t>
    </r>
  </si>
  <si>
    <r>
      <t>A</t>
    </r>
    <r>
      <rPr>
        <vertAlign val="subscript"/>
        <sz val="12"/>
        <color indexed="8"/>
        <rFont val="Calibri"/>
        <family val="2"/>
      </rPr>
      <t>0</t>
    </r>
    <r>
      <rPr>
        <sz val="12"/>
        <color indexed="8"/>
        <rFont val="Calibri"/>
        <family val="2"/>
      </rPr>
      <t xml:space="preserve"> calculations assume a flat, circular aperture, centered on the optical axis.</t>
    </r>
  </si>
  <si>
    <r>
      <t>Calculated A</t>
    </r>
    <r>
      <rPr>
        <vertAlign val="subscript"/>
        <sz val="12"/>
        <color indexed="8"/>
        <rFont val="Calibri"/>
        <family val="2"/>
      </rPr>
      <t>1</t>
    </r>
  </si>
  <si>
    <r>
      <t>Maximum exit slit width for diffraction limited spatial resolution (</t>
    </r>
    <r>
      <rPr>
        <i/>
        <sz val="12"/>
        <color indexed="8"/>
        <rFont val="Calibri"/>
        <family val="2"/>
      </rPr>
      <t>p</t>
    </r>
    <r>
      <rPr>
        <sz val="12"/>
        <color indexed="8"/>
        <rFont val="Calibri"/>
        <family val="2"/>
      </rPr>
      <t>=1)</t>
    </r>
  </si>
  <si>
    <t>µm</t>
  </si>
  <si>
    <r>
      <t xml:space="preserve">Kirz's p </t>
    </r>
    <r>
      <rPr>
        <sz val="12"/>
        <color indexed="8"/>
        <rFont val="Calibri"/>
        <family val="2"/>
      </rPr>
      <t>value</t>
    </r>
  </si>
  <si>
    <r>
      <t>p</t>
    </r>
    <r>
      <rPr>
        <vertAlign val="subscript"/>
        <sz val="12"/>
        <color indexed="8"/>
        <rFont val="Calibri"/>
        <family val="2"/>
      </rPr>
      <t>ap</t>
    </r>
  </si>
  <si>
    <r>
      <t>p</t>
    </r>
    <r>
      <rPr>
        <vertAlign val="subscript"/>
        <sz val="12"/>
        <color indexed="8"/>
        <rFont val="Calibri"/>
        <family val="2"/>
      </rPr>
      <t>ap</t>
    </r>
  </si>
  <si>
    <t>adam.leontowich@lightsource.ca</t>
  </si>
  <si>
    <t>Soleil</t>
  </si>
  <si>
    <t>a-STXM</t>
  </si>
  <si>
    <t>c-STXM</t>
  </si>
  <si>
    <t>DoF</t>
  </si>
  <si>
    <t>last changed: 18 April 2018 (aph)</t>
  </si>
  <si>
    <t>DEFOCUS needed  to just start to see annulus</t>
  </si>
  <si>
    <t>version 2.2, 18 April 2018</t>
  </si>
  <si>
    <t>observed depth of focus at</t>
  </si>
  <si>
    <t>photon energy of</t>
  </si>
  <si>
    <t>E-dof</t>
  </si>
  <si>
    <t>STXM calculator, version 2.2.2 APH 18-April 2018</t>
  </si>
  <si>
    <t>REQUESTED defocus</t>
  </si>
  <si>
    <t>Change in A0, ZP-z or -Sample-Z  to achieve requested defocus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</si>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</sst>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"/>
    <numFmt numFmtId="165" formatCode="0.0"/>
    <numFmt numFmtId="166" formatCode="0.000"/>
    <numFmt numFmtId="167" formatCode="0.0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20"/>
      <color indexed="8"/>
      <name val="Calibri"/>
      <family val="2"/>
    </font>
    <font>
      <u/>
      <sz val="11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2" xfId="0" applyFont="1" applyBorder="1" applyAlignment="1">
      <alignment horizontal="right"/>
    </xf>
    <xf numFmtId="1" fontId="0" fillId="0" borderId="3" xfId="0" applyNumberFormat="1" applyBorder="1"/>
    <xf numFmtId="0" fontId="1" fillId="0" borderId="4" xfId="0" applyFont="1" applyBorder="1"/>
    <xf numFmtId="0" fontId="0" fillId="0" borderId="5" xfId="0" applyBorder="1"/>
    <xf numFmtId="166" fontId="0" fillId="0" borderId="6" xfId="0" applyNumberFormat="1" applyBorder="1"/>
    <xf numFmtId="0" fontId="0" fillId="0" borderId="7" xfId="0" applyBorder="1"/>
    <xf numFmtId="1" fontId="0" fillId="0" borderId="6" xfId="0" applyNumberFormat="1" applyBorder="1"/>
    <xf numFmtId="0" fontId="1" fillId="0" borderId="7" xfId="0" applyFont="1" applyBorder="1"/>
    <xf numFmtId="0" fontId="1" fillId="0" borderId="5" xfId="0" applyFont="1" applyBorder="1" applyAlignment="1">
      <alignment horizontal="right"/>
    </xf>
    <xf numFmtId="165" fontId="0" fillId="0" borderId="6" xfId="0" applyNumberFormat="1" applyBorder="1"/>
    <xf numFmtId="0" fontId="1" fillId="0" borderId="1" xfId="0" applyFont="1" applyBorder="1"/>
    <xf numFmtId="0" fontId="1" fillId="0" borderId="0" xfId="0" applyFont="1"/>
    <xf numFmtId="0" fontId="0" fillId="0" borderId="1" xfId="0" applyFill="1" applyBorder="1"/>
    <xf numFmtId="0" fontId="0" fillId="0" borderId="6" xfId="0" applyBorder="1"/>
    <xf numFmtId="2" fontId="0" fillId="0" borderId="0" xfId="0" applyNumberFormat="1" applyFill="1"/>
    <xf numFmtId="0" fontId="0" fillId="0" borderId="0" xfId="0" applyFill="1"/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7" fillId="0" borderId="0" xfId="0" applyFont="1"/>
    <xf numFmtId="0" fontId="5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7" fontId="8" fillId="0" borderId="0" xfId="0" applyNumberFormat="1" applyFont="1"/>
    <xf numFmtId="1" fontId="8" fillId="0" borderId="0" xfId="0" applyNumberFormat="1" applyFont="1"/>
    <xf numFmtId="0" fontId="9" fillId="0" borderId="0" xfId="0" applyFont="1"/>
    <xf numFmtId="0" fontId="8" fillId="0" borderId="0" xfId="0" applyNumberFormat="1" applyFont="1"/>
    <xf numFmtId="165" fontId="8" fillId="0" borderId="0" xfId="0" applyNumberFormat="1" applyFont="1" applyFill="1" applyBorder="1"/>
    <xf numFmtId="2" fontId="8" fillId="0" borderId="0" xfId="0" applyNumberFormat="1" applyFont="1" applyFill="1" applyBorder="1"/>
    <xf numFmtId="166" fontId="8" fillId="0" borderId="0" xfId="0" applyNumberFormat="1" applyFont="1"/>
    <xf numFmtId="165" fontId="8" fillId="2" borderId="1" xfId="0" applyNumberFormat="1" applyFont="1" applyFill="1" applyBorder="1"/>
    <xf numFmtId="1" fontId="8" fillId="4" borderId="1" xfId="0" applyNumberFormat="1" applyFont="1" applyFill="1" applyBorder="1"/>
    <xf numFmtId="1" fontId="8" fillId="2" borderId="1" xfId="0" applyNumberFormat="1" applyFont="1" applyFill="1" applyBorder="1"/>
    <xf numFmtId="0" fontId="8" fillId="5" borderId="10" xfId="0" applyFont="1" applyFill="1" applyBorder="1"/>
    <xf numFmtId="0" fontId="8" fillId="5" borderId="0" xfId="0" applyFont="1" applyFill="1" applyBorder="1"/>
    <xf numFmtId="0" fontId="8" fillId="5" borderId="11" xfId="0" applyFont="1" applyFill="1" applyBorder="1"/>
    <xf numFmtId="0" fontId="12" fillId="5" borderId="12" xfId="1" applyFill="1" applyBorder="1" applyAlignment="1" applyProtection="1"/>
    <xf numFmtId="0" fontId="8" fillId="5" borderId="13" xfId="0" applyFont="1" applyFill="1" applyBorder="1"/>
    <xf numFmtId="0" fontId="8" fillId="5" borderId="14" xfId="0" applyFont="1" applyFill="1" applyBorder="1"/>
    <xf numFmtId="1" fontId="8" fillId="0" borderId="1" xfId="0" applyNumberFormat="1" applyFont="1" applyFill="1" applyBorder="1"/>
    <xf numFmtId="0" fontId="7" fillId="6" borderId="0" xfId="0" applyFont="1" applyFill="1"/>
    <xf numFmtId="1" fontId="8" fillId="0" borderId="1" xfId="0" applyNumberFormat="1" applyFont="1" applyBorder="1"/>
    <xf numFmtId="2" fontId="8" fillId="0" borderId="1" xfId="0" applyNumberFormat="1" applyFont="1" applyBorder="1"/>
    <xf numFmtId="0" fontId="8" fillId="7" borderId="0" xfId="0" applyFont="1" applyFill="1" applyAlignment="1">
      <alignment horizontal="center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0" xfId="0" applyFill="1"/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0" fillId="8" borderId="0" xfId="0" applyFill="1"/>
    <xf numFmtId="1" fontId="8" fillId="0" borderId="15" xfId="0" applyNumberFormat="1" applyFont="1" applyBorder="1"/>
    <xf numFmtId="0" fontId="8" fillId="0" borderId="16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18" xfId="0" applyFont="1" applyBorder="1"/>
    <xf numFmtId="0" fontId="7" fillId="0" borderId="16" xfId="0" applyFont="1" applyBorder="1"/>
    <xf numFmtId="0" fontId="7" fillId="0" borderId="8" xfId="0" applyFont="1" applyBorder="1"/>
    <xf numFmtId="0" fontId="7" fillId="0" borderId="9" xfId="0" applyFont="1" applyBorder="1"/>
    <xf numFmtId="0" fontId="8" fillId="0" borderId="17" xfId="0" applyFont="1" applyBorder="1"/>
    <xf numFmtId="0" fontId="8" fillId="0" borderId="18" xfId="0" applyFont="1" applyBorder="1"/>
    <xf numFmtId="0" fontId="8" fillId="9" borderId="18" xfId="0" applyFont="1" applyFill="1" applyBorder="1"/>
    <xf numFmtId="0" fontId="8" fillId="0" borderId="19" xfId="0" applyFont="1" applyBorder="1"/>
    <xf numFmtId="0" fontId="8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47625</xdr:rowOff>
        </xdr:from>
        <xdr:to>
          <xdr:col>10</xdr:col>
          <xdr:colOff>466725</xdr:colOff>
          <xdr:row>11</xdr:row>
          <xdr:rowOff>19050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am.leontowich@lightsource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121" zoomScaleNormal="121" workbookViewId="0">
      <selection activeCell="C7" sqref="C7"/>
    </sheetView>
  </sheetViews>
  <sheetFormatPr defaultRowHeight="15" x14ac:dyDescent="0.25"/>
  <cols>
    <col min="1" max="1" width="30.28515625" customWidth="1"/>
    <col min="2" max="2" width="7.5703125" customWidth="1"/>
    <col min="3" max="3" width="8.7109375" customWidth="1"/>
    <col min="4" max="4" width="4.5703125" customWidth="1"/>
    <col min="5" max="5" width="3" customWidth="1"/>
    <col min="6" max="6" width="63.85546875" customWidth="1"/>
    <col min="7" max="7" width="7.5703125" customWidth="1"/>
    <col min="8" max="8" width="2.140625" customWidth="1"/>
    <col min="9" max="9" width="8.140625" customWidth="1"/>
    <col min="10" max="10" width="4.5703125" customWidth="1"/>
    <col min="11" max="11" width="5.42578125" customWidth="1"/>
    <col min="12" max="12" width="13.42578125" customWidth="1"/>
    <col min="13" max="13" width="20.42578125" customWidth="1"/>
    <col min="14" max="14" width="13.7109375" customWidth="1"/>
  </cols>
  <sheetData>
    <row r="1" spans="1:13" ht="26.25" x14ac:dyDescent="0.4">
      <c r="A1" s="28" t="s">
        <v>95</v>
      </c>
    </row>
    <row r="2" spans="1:13" x14ac:dyDescent="0.25">
      <c r="A2" t="s">
        <v>128</v>
      </c>
      <c r="F2" t="s">
        <v>126</v>
      </c>
    </row>
    <row r="4" spans="1:13" ht="20.100000000000001" customHeight="1" x14ac:dyDescent="0.25">
      <c r="A4" s="27" t="s">
        <v>46</v>
      </c>
      <c r="B4" s="27" t="s">
        <v>48</v>
      </c>
      <c r="C4" s="27" t="s">
        <v>52</v>
      </c>
      <c r="D4" s="27" t="s">
        <v>50</v>
      </c>
      <c r="E4" s="29"/>
      <c r="F4" s="27" t="s">
        <v>61</v>
      </c>
      <c r="G4" s="27" t="s">
        <v>48</v>
      </c>
      <c r="H4" s="27"/>
      <c r="I4" s="27" t="s">
        <v>52</v>
      </c>
      <c r="J4" s="27" t="s">
        <v>50</v>
      </c>
      <c r="K4" s="29"/>
      <c r="L4" s="27" t="s">
        <v>73</v>
      </c>
      <c r="M4" s="29"/>
    </row>
    <row r="5" spans="1:13" ht="20.100000000000001" customHeight="1" x14ac:dyDescent="0.35">
      <c r="A5" s="29" t="s">
        <v>47</v>
      </c>
      <c r="B5" s="30" t="s">
        <v>49</v>
      </c>
      <c r="C5" s="41">
        <v>320</v>
      </c>
      <c r="D5" s="29" t="s">
        <v>51</v>
      </c>
      <c r="E5" s="29"/>
      <c r="F5" s="29" t="s">
        <v>13</v>
      </c>
      <c r="G5" s="32" t="s">
        <v>62</v>
      </c>
      <c r="H5" s="33"/>
      <c r="I5" s="34">
        <f>1239.842/C5</f>
        <v>3.8745062500000005</v>
      </c>
      <c r="J5" s="29" t="s">
        <v>6</v>
      </c>
      <c r="K5" s="29"/>
      <c r="L5" s="29" t="s">
        <v>96</v>
      </c>
      <c r="M5" s="29" t="s">
        <v>77</v>
      </c>
    </row>
    <row r="6" spans="1:13" ht="20.100000000000001" customHeight="1" x14ac:dyDescent="0.35">
      <c r="A6" s="29" t="s">
        <v>53</v>
      </c>
      <c r="B6" s="30" t="s">
        <v>54</v>
      </c>
      <c r="C6" s="42">
        <v>240</v>
      </c>
      <c r="D6" s="29" t="s">
        <v>97</v>
      </c>
      <c r="E6" s="29"/>
      <c r="F6" s="29" t="s">
        <v>98</v>
      </c>
      <c r="G6" s="30" t="s">
        <v>63</v>
      </c>
      <c r="H6" s="33"/>
      <c r="I6" s="43">
        <f>(C6*(C7/1000))/((1240/C5)/1000)</f>
        <v>1238.7096774193549</v>
      </c>
      <c r="J6" s="29" t="s">
        <v>99</v>
      </c>
      <c r="K6" s="29"/>
      <c r="L6" s="29" t="s">
        <v>100</v>
      </c>
      <c r="M6" s="29" t="s">
        <v>101</v>
      </c>
    </row>
    <row r="7" spans="1:13" ht="20.100000000000001" customHeight="1" x14ac:dyDescent="0.25">
      <c r="A7" s="29" t="s">
        <v>55</v>
      </c>
      <c r="B7" s="32" t="s">
        <v>102</v>
      </c>
      <c r="C7" s="42">
        <v>20</v>
      </c>
      <c r="D7" s="29" t="s">
        <v>6</v>
      </c>
      <c r="E7" s="29"/>
      <c r="F7" s="29" t="s">
        <v>3</v>
      </c>
      <c r="G7" s="32"/>
      <c r="H7" s="33" t="s">
        <v>15</v>
      </c>
      <c r="I7" s="35">
        <f>2*(C7^2/I5)</f>
        <v>206.47792218685927</v>
      </c>
      <c r="J7" s="29" t="s">
        <v>6</v>
      </c>
      <c r="K7" s="29"/>
      <c r="L7" s="29" t="s">
        <v>76</v>
      </c>
      <c r="M7" s="29" t="s">
        <v>80</v>
      </c>
    </row>
    <row r="8" spans="1:13" ht="20.100000000000001" customHeight="1" x14ac:dyDescent="0.35">
      <c r="A8" s="29" t="s">
        <v>56</v>
      </c>
      <c r="B8" s="32" t="s">
        <v>103</v>
      </c>
      <c r="C8" s="52">
        <v>90</v>
      </c>
      <c r="D8" s="29" t="s">
        <v>104</v>
      </c>
      <c r="E8" s="29"/>
      <c r="F8" s="29" t="s">
        <v>105</v>
      </c>
      <c r="G8" s="32"/>
      <c r="H8" s="33"/>
      <c r="I8" s="31">
        <f>1.22*C7</f>
        <v>24.4</v>
      </c>
      <c r="J8" s="29" t="s">
        <v>6</v>
      </c>
      <c r="K8" s="29"/>
      <c r="L8" s="29" t="s">
        <v>75</v>
      </c>
      <c r="M8" s="29" t="s">
        <v>81</v>
      </c>
    </row>
    <row r="9" spans="1:13" ht="20.100000000000001" customHeight="1" x14ac:dyDescent="0.35">
      <c r="A9" s="29" t="s">
        <v>57</v>
      </c>
      <c r="B9" s="32" t="s">
        <v>106</v>
      </c>
      <c r="C9" s="43">
        <v>50</v>
      </c>
      <c r="D9" s="29" t="s">
        <v>107</v>
      </c>
      <c r="E9" s="29"/>
      <c r="F9" s="29" t="s">
        <v>85</v>
      </c>
      <c r="G9" s="30" t="s">
        <v>66</v>
      </c>
      <c r="H9" s="33"/>
      <c r="I9" s="29">
        <f>C6/((4*C7)/1000)</f>
        <v>3000</v>
      </c>
      <c r="J9" s="29"/>
      <c r="K9" s="29"/>
      <c r="L9" s="36" t="s">
        <v>69</v>
      </c>
      <c r="M9" s="29" t="s">
        <v>91</v>
      </c>
    </row>
    <row r="10" spans="1:13" ht="20.100000000000001" customHeight="1" x14ac:dyDescent="0.35">
      <c r="A10" s="29" t="s">
        <v>71</v>
      </c>
      <c r="B10" s="29"/>
      <c r="C10" s="52">
        <v>25</v>
      </c>
      <c r="D10" s="29" t="s">
        <v>107</v>
      </c>
      <c r="E10" s="29"/>
      <c r="F10" s="29" t="s">
        <v>86</v>
      </c>
      <c r="G10" s="32" t="s">
        <v>108</v>
      </c>
      <c r="H10" s="33"/>
      <c r="I10" s="35">
        <f>(C6/((4*C7)/1000))*(1-(C8/C6)^2)</f>
        <v>2578.125</v>
      </c>
      <c r="J10" s="29"/>
      <c r="K10" s="29"/>
      <c r="L10" s="29" t="s">
        <v>74</v>
      </c>
      <c r="M10" s="29" t="s">
        <v>82</v>
      </c>
    </row>
    <row r="11" spans="1:13" ht="20.100000000000001" customHeight="1" x14ac:dyDescent="0.25">
      <c r="A11" s="29" t="s">
        <v>58</v>
      </c>
      <c r="B11" s="30" t="s">
        <v>68</v>
      </c>
      <c r="C11" s="53">
        <v>3.5</v>
      </c>
      <c r="D11" s="29" t="s">
        <v>60</v>
      </c>
      <c r="E11" s="29"/>
      <c r="F11" s="29" t="s">
        <v>64</v>
      </c>
      <c r="G11" s="30" t="s">
        <v>65</v>
      </c>
      <c r="H11" s="33"/>
      <c r="I11" s="29">
        <f>(I5)/(2*(C7))</f>
        <v>9.6862656250000012E-2</v>
      </c>
      <c r="J11" s="29"/>
      <c r="K11" s="29"/>
      <c r="L11" s="29"/>
      <c r="M11" s="29"/>
    </row>
    <row r="12" spans="1:13" ht="20.100000000000001" customHeight="1" thickBot="1" x14ac:dyDescent="0.3">
      <c r="A12" s="29" t="s">
        <v>67</v>
      </c>
      <c r="B12" s="30" t="s">
        <v>59</v>
      </c>
      <c r="C12" s="61">
        <v>30</v>
      </c>
      <c r="D12" s="29" t="s">
        <v>109</v>
      </c>
      <c r="E12" s="29"/>
      <c r="F12" s="29" t="s">
        <v>70</v>
      </c>
      <c r="G12" s="32"/>
      <c r="H12" s="29"/>
      <c r="I12" s="50">
        <f>I6-I13</f>
        <v>980.64516129032268</v>
      </c>
      <c r="J12" s="29" t="s">
        <v>97</v>
      </c>
      <c r="K12" s="29"/>
      <c r="L12" s="27" t="s">
        <v>78</v>
      </c>
      <c r="M12" s="29"/>
    </row>
    <row r="13" spans="1:13" ht="20.100000000000001" customHeight="1" x14ac:dyDescent="0.35">
      <c r="A13" s="62" t="s">
        <v>129</v>
      </c>
      <c r="B13" s="63" t="s">
        <v>125</v>
      </c>
      <c r="C13" s="63">
        <v>3</v>
      </c>
      <c r="D13" s="64" t="s">
        <v>4</v>
      </c>
      <c r="E13" s="29"/>
      <c r="F13" s="29" t="s">
        <v>110</v>
      </c>
      <c r="G13" s="32"/>
      <c r="H13" s="33" t="s">
        <v>17</v>
      </c>
      <c r="I13" s="43">
        <f>(C9/2)/((C6/2)/I6)</f>
        <v>258.06451612903226</v>
      </c>
      <c r="J13" s="29" t="s">
        <v>111</v>
      </c>
      <c r="K13" s="29"/>
      <c r="L13" s="29" t="s">
        <v>112</v>
      </c>
      <c r="M13" s="29"/>
    </row>
    <row r="14" spans="1:13" ht="20.100000000000001" customHeight="1" thickBot="1" x14ac:dyDescent="0.4">
      <c r="A14" s="65" t="s">
        <v>130</v>
      </c>
      <c r="B14" s="66" t="s">
        <v>131</v>
      </c>
      <c r="C14" s="66">
        <v>320</v>
      </c>
      <c r="D14" s="67" t="s">
        <v>51</v>
      </c>
      <c r="E14" s="29"/>
      <c r="F14" s="29" t="s">
        <v>113</v>
      </c>
      <c r="G14" s="32"/>
      <c r="H14" s="33" t="s">
        <v>16</v>
      </c>
      <c r="I14" s="35">
        <f>((C9/2)/((C8/2)/(2*I6)))-I6</f>
        <v>137.63440860215064</v>
      </c>
      <c r="J14" s="29" t="s">
        <v>111</v>
      </c>
      <c r="K14" s="29"/>
      <c r="L14" s="29" t="s">
        <v>114</v>
      </c>
      <c r="M14" s="29"/>
    </row>
    <row r="15" spans="1:13" ht="20.100000000000001" customHeight="1" x14ac:dyDescent="0.25">
      <c r="A15" s="51" t="s">
        <v>132</v>
      </c>
      <c r="B15" s="45"/>
      <c r="C15" s="46"/>
      <c r="D15" s="29"/>
      <c r="E15" s="29"/>
      <c r="F15" s="29" t="s">
        <v>72</v>
      </c>
      <c r="G15" s="32"/>
      <c r="H15" s="29"/>
      <c r="I15" s="35">
        <f>I13-C10</f>
        <v>233.06451612903226</v>
      </c>
      <c r="J15" s="29" t="s">
        <v>107</v>
      </c>
      <c r="K15" s="29"/>
      <c r="L15" s="29"/>
      <c r="M15" s="29"/>
    </row>
    <row r="16" spans="1:13" ht="20.100000000000001" customHeight="1" x14ac:dyDescent="0.35">
      <c r="A16" s="44" t="s">
        <v>88</v>
      </c>
      <c r="B16" s="45"/>
      <c r="C16" s="46"/>
      <c r="D16" s="29"/>
      <c r="E16" s="29"/>
      <c r="F16" s="29" t="s">
        <v>115</v>
      </c>
      <c r="G16" s="32" t="s">
        <v>100</v>
      </c>
      <c r="H16" s="33"/>
      <c r="I16" s="37">
        <f>(I6-I13)/C5</f>
        <v>3.0645161290322585</v>
      </c>
      <c r="J16" s="29"/>
      <c r="K16" s="29"/>
      <c r="L16" s="27" t="s">
        <v>87</v>
      </c>
      <c r="M16" s="27"/>
    </row>
    <row r="17" spans="1:14" ht="20.100000000000001" customHeight="1" x14ac:dyDescent="0.25">
      <c r="A17" s="44" t="s">
        <v>43</v>
      </c>
      <c r="B17" s="45"/>
      <c r="C17" s="46"/>
      <c r="D17" s="29"/>
      <c r="E17" s="29"/>
      <c r="F17" s="29" t="s">
        <v>116</v>
      </c>
      <c r="G17" s="32"/>
      <c r="H17" s="33" t="s">
        <v>16</v>
      </c>
      <c r="I17" s="38">
        <f>(I5/1000)/(2*(SIN(RADIANS(DEGREES(ATAN((C6/2)/(C11*1000000)))))))</f>
        <v>56.503216179043399</v>
      </c>
      <c r="J17" s="29" t="s">
        <v>117</v>
      </c>
      <c r="K17" s="29"/>
      <c r="L17" s="29" t="s">
        <v>12</v>
      </c>
      <c r="M17" s="32">
        <v>1.8</v>
      </c>
    </row>
    <row r="18" spans="1:14" ht="20.100000000000001" customHeight="1" x14ac:dyDescent="0.25">
      <c r="A18" s="44" t="s">
        <v>44</v>
      </c>
      <c r="B18" s="45"/>
      <c r="C18" s="46"/>
      <c r="D18" s="29"/>
      <c r="E18" s="29"/>
      <c r="F18" s="36" t="s">
        <v>118</v>
      </c>
      <c r="G18" s="30" t="s">
        <v>69</v>
      </c>
      <c r="H18" s="29"/>
      <c r="I18" s="39">
        <f>(2*(C12)*SIN(RADIANS(DEGREES(ATAN((C6/2)/(C11*1000000))))))/(I5/1000)</f>
        <v>0.53094322816843054</v>
      </c>
      <c r="J18" s="29"/>
      <c r="K18" s="29"/>
      <c r="L18" s="29" t="s">
        <v>10</v>
      </c>
      <c r="M18" s="32">
        <v>1</v>
      </c>
    </row>
    <row r="19" spans="1:14" ht="20.100000000000001" customHeight="1" x14ac:dyDescent="0.35">
      <c r="A19" s="44" t="s">
        <v>79</v>
      </c>
      <c r="B19" s="45"/>
      <c r="C19" s="46"/>
      <c r="D19" s="29"/>
      <c r="E19" s="29"/>
      <c r="F19" s="29" t="s">
        <v>119</v>
      </c>
      <c r="G19" s="32" t="s">
        <v>120</v>
      </c>
      <c r="H19" s="29"/>
      <c r="I19" s="39">
        <f>I18-((C8/C6)*I18)</f>
        <v>0.33183951760526909</v>
      </c>
      <c r="J19" s="29"/>
      <c r="K19" s="29"/>
      <c r="L19" s="29" t="s">
        <v>11</v>
      </c>
      <c r="M19" s="32">
        <v>2.2000000000000002</v>
      </c>
    </row>
    <row r="20" spans="1:14" ht="20.100000000000001" customHeight="1" x14ac:dyDescent="0.25">
      <c r="A20" s="44" t="s">
        <v>45</v>
      </c>
      <c r="B20" s="45"/>
      <c r="C20" s="46"/>
      <c r="D20" s="29"/>
      <c r="E20" s="29"/>
      <c r="F20" s="29" t="s">
        <v>84</v>
      </c>
      <c r="G20" s="32"/>
      <c r="H20" s="29"/>
      <c r="I20" s="38">
        <f>(C12*1000)/((C11*1000000000)/(I6*1000))</f>
        <v>10.617511520737329</v>
      </c>
      <c r="J20" s="29" t="s">
        <v>6</v>
      </c>
      <c r="K20" s="29"/>
      <c r="L20" s="29" t="s">
        <v>8</v>
      </c>
      <c r="M20" s="32">
        <v>3</v>
      </c>
    </row>
    <row r="21" spans="1:14" ht="20.100000000000001" customHeight="1" thickBot="1" x14ac:dyDescent="0.3">
      <c r="A21" s="47" t="s">
        <v>121</v>
      </c>
      <c r="B21" s="48"/>
      <c r="C21" s="49"/>
      <c r="D21" s="29"/>
      <c r="E21" s="29"/>
      <c r="F21" s="29" t="s">
        <v>90</v>
      </c>
      <c r="G21" s="29"/>
      <c r="H21" s="29"/>
      <c r="I21" s="40">
        <f>DEGREES(SQRT(1.22/I9))</f>
        <v>1.1554254262701</v>
      </c>
      <c r="J21" s="29" t="s">
        <v>89</v>
      </c>
      <c r="K21" s="29"/>
      <c r="L21" s="58" t="s">
        <v>9</v>
      </c>
      <c r="M21" s="59">
        <v>3.02</v>
      </c>
      <c r="N21" s="60" t="s">
        <v>123</v>
      </c>
    </row>
    <row r="22" spans="1:14" ht="20.100000000000001" customHeight="1" thickBo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55" t="s">
        <v>9</v>
      </c>
      <c r="M22" s="56">
        <v>4</v>
      </c>
      <c r="N22" s="57" t="s">
        <v>124</v>
      </c>
    </row>
    <row r="23" spans="1:14" ht="20.100000000000001" customHeight="1" thickBot="1" x14ac:dyDescent="0.3">
      <c r="A23" s="29"/>
      <c r="B23" s="29"/>
      <c r="C23" s="29"/>
      <c r="D23" s="29"/>
      <c r="E23" s="29"/>
      <c r="F23" s="69" t="s">
        <v>127</v>
      </c>
      <c r="G23" s="70"/>
      <c r="H23" s="70"/>
      <c r="I23" s="70">
        <f>C6*C13*(C5/C14)/I6</f>
        <v>0.58124999999999993</v>
      </c>
      <c r="J23" s="71" t="s">
        <v>4</v>
      </c>
      <c r="K23" s="29"/>
      <c r="L23" s="29" t="s">
        <v>7</v>
      </c>
      <c r="M23" s="32">
        <v>1.07</v>
      </c>
    </row>
    <row r="24" spans="1:14" ht="20.100000000000001" customHeight="1" thickBot="1" x14ac:dyDescent="0.3">
      <c r="A24" s="72" t="s">
        <v>133</v>
      </c>
      <c r="B24" s="76" t="s">
        <v>135</v>
      </c>
      <c r="C24" s="74">
        <v>0.5</v>
      </c>
      <c r="D24" s="75" t="s">
        <v>4</v>
      </c>
      <c r="E24" s="73"/>
      <c r="F24" s="68" t="s">
        <v>134</v>
      </c>
      <c r="G24" s="73"/>
      <c r="H24" s="73"/>
      <c r="I24" s="68">
        <f>C24*C6/I6</f>
        <v>9.6875000000000003E-2</v>
      </c>
      <c r="J24" s="71" t="s">
        <v>4</v>
      </c>
      <c r="K24" s="29"/>
      <c r="L24" s="29" t="s">
        <v>92</v>
      </c>
      <c r="M24" s="32">
        <v>2.5</v>
      </c>
    </row>
    <row r="25" spans="1:14" ht="20.100000000000001" customHeight="1" x14ac:dyDescent="0.25">
      <c r="B25" s="29"/>
      <c r="C25" s="29"/>
      <c r="D25" s="29"/>
      <c r="E25" s="29"/>
      <c r="G25" s="29"/>
      <c r="H25" s="29"/>
      <c r="I25" s="29"/>
      <c r="J25" s="29"/>
      <c r="K25" s="29"/>
      <c r="L25" s="29" t="s">
        <v>94</v>
      </c>
      <c r="M25" s="32">
        <v>1.33</v>
      </c>
    </row>
    <row r="26" spans="1:14" ht="20.100000000000001" customHeight="1" x14ac:dyDescent="0.25">
      <c r="F26" s="29" t="s">
        <v>93</v>
      </c>
      <c r="L26" s="29" t="s">
        <v>122</v>
      </c>
      <c r="M26" s="54">
        <v>3.5</v>
      </c>
    </row>
    <row r="27" spans="1:14" ht="20.100000000000001" customHeight="1" x14ac:dyDescent="0.25"/>
    <row r="28" spans="1:14" ht="20.100000000000001" customHeight="1" x14ac:dyDescent="0.25"/>
    <row r="29" spans="1:14" ht="20.100000000000001" customHeight="1" x14ac:dyDescent="0.25"/>
    <row r="30" spans="1:14" ht="20.100000000000001" customHeight="1" x14ac:dyDescent="0.25"/>
    <row r="31" spans="1:14" ht="20.100000000000001" customHeight="1" x14ac:dyDescent="0.25"/>
    <row r="32" spans="1:14" ht="20.100000000000001" customHeight="1" x14ac:dyDescent="0.25"/>
    <row r="33" ht="20.100000000000001" customHeight="1" x14ac:dyDescent="0.25"/>
  </sheetData>
  <phoneticPr fontId="0" type="noConversion"/>
  <hyperlinks>
    <hyperlink ref="A21" r:id="rId1" xr:uid="{00000000-0004-0000-0000-000000000000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9"/>
  <sheetViews>
    <sheetView workbookViewId="0"/>
  </sheetViews>
  <sheetFormatPr defaultRowHeight="15" x14ac:dyDescent="0.25"/>
  <cols>
    <col min="2" max="2" width="29.85546875" customWidth="1"/>
    <col min="3" max="3" width="6.7109375" customWidth="1"/>
    <col min="4" max="4" width="12.7109375" customWidth="1"/>
    <col min="5" max="5" width="42.5703125" customWidth="1"/>
    <col min="6" max="6" width="2.7109375" customWidth="1"/>
    <col min="7" max="7" width="8.42578125" customWidth="1"/>
    <col min="8" max="8" width="5.5703125" customWidth="1"/>
    <col min="9" max="9" width="13" customWidth="1"/>
    <col min="10" max="10" width="16.7109375" customWidth="1"/>
  </cols>
  <sheetData>
    <row r="1" spans="2:12" ht="26.25" x14ac:dyDescent="0.4">
      <c r="B1" s="3" t="s">
        <v>30</v>
      </c>
      <c r="G1" s="4" t="s">
        <v>83</v>
      </c>
    </row>
    <row r="2" spans="2:12" x14ac:dyDescent="0.25">
      <c r="B2" t="s">
        <v>21</v>
      </c>
      <c r="H2" s="4" t="s">
        <v>40</v>
      </c>
    </row>
    <row r="4" spans="2:12" x14ac:dyDescent="0.25">
      <c r="B4" s="5" t="s">
        <v>22</v>
      </c>
    </row>
    <row r="8" spans="2:12" x14ac:dyDescent="0.25">
      <c r="B8" s="6" t="s">
        <v>0</v>
      </c>
      <c r="C8" s="6">
        <v>300</v>
      </c>
      <c r="E8" s="6" t="s">
        <v>13</v>
      </c>
      <c r="F8" s="11"/>
      <c r="G8" s="12">
        <f>1240/C8</f>
        <v>4.1333333333333337</v>
      </c>
      <c r="H8" s="13" t="s">
        <v>6</v>
      </c>
      <c r="I8" s="2"/>
      <c r="L8" t="s">
        <v>29</v>
      </c>
    </row>
    <row r="9" spans="2:12" x14ac:dyDescent="0.25">
      <c r="B9" s="6" t="s">
        <v>1</v>
      </c>
      <c r="C9" s="6">
        <v>240</v>
      </c>
      <c r="E9" s="6" t="s">
        <v>5</v>
      </c>
      <c r="F9" s="11"/>
      <c r="G9" s="14">
        <f>(C9*(C10/1000))/((1240/C8)/1000)</f>
        <v>1451.6129032258063</v>
      </c>
      <c r="H9" s="15" t="s">
        <v>4</v>
      </c>
      <c r="L9" s="19" t="s">
        <v>28</v>
      </c>
    </row>
    <row r="10" spans="2:12" x14ac:dyDescent="0.25">
      <c r="B10" s="6" t="s">
        <v>24</v>
      </c>
      <c r="C10" s="6">
        <v>25</v>
      </c>
      <c r="E10" s="18" t="s">
        <v>3</v>
      </c>
      <c r="F10" s="16" t="s">
        <v>15</v>
      </c>
      <c r="G10" s="14">
        <f>2*(C10^2/G8)</f>
        <v>302.41935483870964</v>
      </c>
      <c r="H10" s="13" t="s">
        <v>6</v>
      </c>
      <c r="L10" t="s">
        <v>26</v>
      </c>
    </row>
    <row r="11" spans="2:12" x14ac:dyDescent="0.25">
      <c r="B11" s="6" t="s">
        <v>14</v>
      </c>
      <c r="C11" s="6">
        <v>95</v>
      </c>
      <c r="E11" s="6" t="s">
        <v>42</v>
      </c>
      <c r="F11" s="16" t="s">
        <v>16</v>
      </c>
      <c r="G11" s="17">
        <f>G8/(SIN(RADIANS(DEGREES(ATAN((C9/2)/(C13*10^6))))))/10^3</f>
        <v>34.444444692444449</v>
      </c>
      <c r="H11" s="15" t="s">
        <v>4</v>
      </c>
      <c r="L11" t="s">
        <v>27</v>
      </c>
    </row>
    <row r="12" spans="2:12" x14ac:dyDescent="0.25">
      <c r="B12" s="6" t="s">
        <v>2</v>
      </c>
      <c r="C12" s="6">
        <v>50</v>
      </c>
      <c r="E12" s="6" t="s">
        <v>31</v>
      </c>
      <c r="F12" s="16" t="s">
        <v>17</v>
      </c>
      <c r="G12" s="14">
        <f>(C12/2)/TAN(RADIANS(DEGREES(ATAN((C9/2)/G9))))</f>
        <v>302.41935483870969</v>
      </c>
      <c r="H12" s="15" t="s">
        <v>4</v>
      </c>
    </row>
    <row r="13" spans="2:12" x14ac:dyDescent="0.25">
      <c r="B13" s="6" t="s">
        <v>19</v>
      </c>
      <c r="C13" s="7">
        <v>1</v>
      </c>
      <c r="E13" s="6" t="s">
        <v>18</v>
      </c>
      <c r="F13" s="8" t="s">
        <v>16</v>
      </c>
      <c r="G13" s="9">
        <f>(C12/2)/TAN(RADIANS(DEGREES(ATAN((C11/2)/(G9*2)))))-G9</f>
        <v>76.400679117147774</v>
      </c>
      <c r="H13" s="10" t="s">
        <v>4</v>
      </c>
      <c r="J13" s="23"/>
    </row>
    <row r="14" spans="2:12" x14ac:dyDescent="0.25">
      <c r="E14" s="20" t="s">
        <v>32</v>
      </c>
      <c r="F14" s="11"/>
      <c r="G14" s="21">
        <f>(G8)/(2*(C10))</f>
        <v>8.266666666666668E-2</v>
      </c>
      <c r="H14" s="13"/>
    </row>
    <row r="16" spans="2:12" x14ac:dyDescent="0.25">
      <c r="E16" t="s">
        <v>33</v>
      </c>
      <c r="G16">
        <f>(G9-G12)/C8</f>
        <v>3.8306451612903221</v>
      </c>
    </row>
    <row r="17" spans="2:11" x14ac:dyDescent="0.25">
      <c r="E17" s="24" t="s">
        <v>34</v>
      </c>
    </row>
    <row r="18" spans="2:11" x14ac:dyDescent="0.25">
      <c r="E18" t="s">
        <v>41</v>
      </c>
      <c r="J18" s="26"/>
    </row>
    <row r="19" spans="2:11" x14ac:dyDescent="0.25">
      <c r="B19" t="s">
        <v>38</v>
      </c>
      <c r="C19">
        <v>25</v>
      </c>
      <c r="E19" t="s">
        <v>37</v>
      </c>
      <c r="G19" s="25">
        <f>(C19*1000)/((C13*1000000000)/(G9*1000))</f>
        <v>36.29032258064516</v>
      </c>
      <c r="H19" t="s">
        <v>6</v>
      </c>
    </row>
    <row r="20" spans="2:11" x14ac:dyDescent="0.25">
      <c r="J20" t="s">
        <v>35</v>
      </c>
    </row>
    <row r="21" spans="2:11" x14ac:dyDescent="0.25">
      <c r="J21" t="s">
        <v>36</v>
      </c>
      <c r="K21">
        <f>0.61*G8/G14</f>
        <v>30.5</v>
      </c>
    </row>
    <row r="23" spans="2:11" x14ac:dyDescent="0.25">
      <c r="B23" t="s">
        <v>20</v>
      </c>
      <c r="E23" t="s">
        <v>23</v>
      </c>
    </row>
    <row r="24" spans="2:11" x14ac:dyDescent="0.25">
      <c r="B24" t="s">
        <v>12</v>
      </c>
      <c r="C24" s="22">
        <v>1.8</v>
      </c>
      <c r="E24" t="s">
        <v>39</v>
      </c>
    </row>
    <row r="25" spans="2:11" x14ac:dyDescent="0.25">
      <c r="B25" t="s">
        <v>10</v>
      </c>
      <c r="C25" s="1">
        <v>1</v>
      </c>
      <c r="E25" t="s">
        <v>25</v>
      </c>
    </row>
    <row r="26" spans="2:11" x14ac:dyDescent="0.25">
      <c r="B26" t="s">
        <v>11</v>
      </c>
      <c r="C26" s="1">
        <v>2.2000000000000002</v>
      </c>
    </row>
    <row r="27" spans="2:11" x14ac:dyDescent="0.25">
      <c r="B27" t="s">
        <v>8</v>
      </c>
      <c r="C27" s="1">
        <v>3</v>
      </c>
    </row>
    <row r="28" spans="2:11" x14ac:dyDescent="0.25">
      <c r="B28" t="s">
        <v>9</v>
      </c>
      <c r="C28" s="1">
        <v>3.3</v>
      </c>
    </row>
    <row r="29" spans="2:11" x14ac:dyDescent="0.25">
      <c r="B29" t="s">
        <v>7</v>
      </c>
      <c r="C29" s="1">
        <v>1.07</v>
      </c>
    </row>
  </sheetData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9</xdr:col>
                <xdr:colOff>19050</xdr:colOff>
                <xdr:row>7</xdr:row>
                <xdr:rowOff>47625</xdr:rowOff>
              </from>
              <to>
                <xdr:col>10</xdr:col>
                <xdr:colOff>466725</xdr:colOff>
                <xdr:row>11</xdr:row>
                <xdr:rowOff>19050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2</vt:lpstr>
      <vt:lpstr>Version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Adam Hitchcock</cp:lastModifiedBy>
  <dcterms:created xsi:type="dcterms:W3CDTF">2011-12-02T05:45:00Z</dcterms:created>
  <dcterms:modified xsi:type="dcterms:W3CDTF">2018-09-19T07:59:29Z</dcterms:modified>
</cp:coreProperties>
</file>